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consult1-my.sharepoint.com/personal/sarah_smartconsult_com_au/Documents/"/>
    </mc:Choice>
  </mc:AlternateContent>
  <xr:revisionPtr revIDLastSave="0" documentId="8_{270D1ECA-11BE-4656-9BCF-BA0E5CBCCC7B}" xr6:coauthVersionLast="45" xr6:coauthVersionMax="45" xr10:uidLastSave="{00000000-0000-0000-0000-000000000000}"/>
  <bookViews>
    <workbookView xWindow="2250" yWindow="2250" windowWidth="24165" windowHeight="11385" activeTab="2" xr2:uid="{8C9AD19D-6BFC-4671-992A-15F8F65DF679}"/>
  </bookViews>
  <sheets>
    <sheet name="Heat pump model" sheetId="2" r:id="rId1"/>
    <sheet name="Heat pump model (2)" sheetId="6" r:id="rId2"/>
    <sheet name="Heat pump model (3)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" i="7" l="1"/>
  <c r="E94" i="7" s="1"/>
  <c r="B93" i="7"/>
  <c r="D94" i="7" s="1"/>
  <c r="B90" i="7"/>
  <c r="B92" i="7" s="1"/>
  <c r="E89" i="7"/>
  <c r="F89" i="7" s="1"/>
  <c r="G85" i="7"/>
  <c r="O50" i="7"/>
  <c r="M50" i="7"/>
  <c r="O49" i="7"/>
  <c r="N49" i="7"/>
  <c r="M49" i="7"/>
  <c r="O48" i="7"/>
  <c r="N48" i="7"/>
  <c r="M48" i="7"/>
  <c r="O47" i="7"/>
  <c r="N47" i="7"/>
  <c r="M47" i="7"/>
  <c r="I47" i="7"/>
  <c r="N46" i="7"/>
  <c r="M46" i="7"/>
  <c r="O46" i="7" s="1"/>
  <c r="N45" i="7"/>
  <c r="M45" i="7"/>
  <c r="O45" i="7" s="1"/>
  <c r="I45" i="7"/>
  <c r="N44" i="7"/>
  <c r="M44" i="7"/>
  <c r="O44" i="7" s="1"/>
  <c r="C43" i="7"/>
  <c r="C42" i="7" s="1"/>
  <c r="I46" i="7" s="1"/>
  <c r="C40" i="7"/>
  <c r="H33" i="7"/>
  <c r="G33" i="7"/>
  <c r="J36" i="7" s="1"/>
  <c r="K36" i="7" s="1"/>
  <c r="N32" i="7"/>
  <c r="N33" i="7" s="1"/>
  <c r="N34" i="7" s="1"/>
  <c r="B34" i="7" s="1"/>
  <c r="G31" i="7"/>
  <c r="P30" i="7"/>
  <c r="K30" i="7"/>
  <c r="I19" i="7"/>
  <c r="E94" i="6"/>
  <c r="E93" i="6"/>
  <c r="B93" i="6"/>
  <c r="D94" i="6" s="1"/>
  <c r="B92" i="6"/>
  <c r="B95" i="6" s="1"/>
  <c r="B90" i="6"/>
  <c r="G89" i="6"/>
  <c r="G90" i="6" s="1"/>
  <c r="H90" i="6" s="1"/>
  <c r="F89" i="6"/>
  <c r="E89" i="6"/>
  <c r="G85" i="6"/>
  <c r="M50" i="6"/>
  <c r="O50" i="6" s="1"/>
  <c r="N49" i="6"/>
  <c r="M49" i="6"/>
  <c r="O49" i="6" s="1"/>
  <c r="N48" i="6"/>
  <c r="M48" i="6"/>
  <c r="O48" i="6" s="1"/>
  <c r="N47" i="6"/>
  <c r="O47" i="6" s="1"/>
  <c r="M47" i="6"/>
  <c r="I47" i="6"/>
  <c r="O46" i="6"/>
  <c r="N46" i="6"/>
  <c r="M46" i="6"/>
  <c r="O45" i="6"/>
  <c r="N45" i="6"/>
  <c r="M45" i="6"/>
  <c r="I45" i="6"/>
  <c r="O44" i="6"/>
  <c r="N44" i="6"/>
  <c r="M44" i="6"/>
  <c r="C43" i="6"/>
  <c r="C42" i="6"/>
  <c r="I46" i="6" s="1"/>
  <c r="I48" i="6" s="1"/>
  <c r="I49" i="6" s="1"/>
  <c r="C40" i="6"/>
  <c r="N32" i="6" s="1"/>
  <c r="N33" i="6" s="1"/>
  <c r="N34" i="6" s="1"/>
  <c r="B34" i="6" s="1"/>
  <c r="G31" i="6"/>
  <c r="G33" i="6" s="1"/>
  <c r="P30" i="6"/>
  <c r="K30" i="6"/>
  <c r="I19" i="6"/>
  <c r="G31" i="2"/>
  <c r="G33" i="2" s="1"/>
  <c r="G34" i="2" s="1"/>
  <c r="C43" i="2"/>
  <c r="C42" i="2" s="1"/>
  <c r="I46" i="2" s="1"/>
  <c r="I47" i="2"/>
  <c r="I45" i="2"/>
  <c r="I48" i="7" l="1"/>
  <c r="I49" i="7" s="1"/>
  <c r="I50" i="7" s="1"/>
  <c r="B33" i="7" s="1"/>
  <c r="B95" i="7"/>
  <c r="G89" i="7"/>
  <c r="G90" i="7" s="1"/>
  <c r="H90" i="7" s="1"/>
  <c r="K33" i="7"/>
  <c r="G34" i="7"/>
  <c r="K34" i="7" s="1"/>
  <c r="I50" i="6"/>
  <c r="B33" i="6" s="1"/>
  <c r="G34" i="6"/>
  <c r="K34" i="6" s="1"/>
  <c r="K33" i="6"/>
  <c r="J36" i="6"/>
  <c r="K36" i="6" s="1"/>
  <c r="I48" i="2"/>
  <c r="I49" i="2" s="1"/>
  <c r="I50" i="2" s="1"/>
  <c r="B33" i="2" s="1"/>
  <c r="N47" i="2"/>
  <c r="M47" i="2"/>
  <c r="K37" i="6" l="1"/>
  <c r="B32" i="6" s="1"/>
  <c r="B36" i="6" s="1"/>
  <c r="D32" i="6" s="1"/>
  <c r="K37" i="7"/>
  <c r="B32" i="7" s="1"/>
  <c r="O47" i="2"/>
  <c r="N48" i="2"/>
  <c r="N46" i="2"/>
  <c r="N45" i="2"/>
  <c r="N44" i="2"/>
  <c r="N49" i="2"/>
  <c r="M50" i="2"/>
  <c r="O50" i="2" s="1"/>
  <c r="M49" i="2"/>
  <c r="M48" i="2"/>
  <c r="M45" i="2"/>
  <c r="M44" i="2"/>
  <c r="M46" i="2"/>
  <c r="B36" i="7" l="1"/>
  <c r="B52" i="6"/>
  <c r="D52" i="6" s="1"/>
  <c r="B50" i="6"/>
  <c r="C48" i="6"/>
  <c r="D35" i="6"/>
  <c r="B47" i="6"/>
  <c r="D34" i="6"/>
  <c r="D33" i="6"/>
  <c r="O46" i="2"/>
  <c r="O45" i="2"/>
  <c r="O44" i="2"/>
  <c r="O49" i="2"/>
  <c r="O48" i="2"/>
  <c r="E89" i="2"/>
  <c r="F89" i="2" s="1"/>
  <c r="E93" i="2"/>
  <c r="B93" i="2"/>
  <c r="G85" i="2" s="1"/>
  <c r="B90" i="2"/>
  <c r="B92" i="2" s="1"/>
  <c r="B95" i="2" s="1"/>
  <c r="B47" i="7" l="1"/>
  <c r="C48" i="7"/>
  <c r="B52" i="7"/>
  <c r="D52" i="7" s="1"/>
  <c r="B50" i="7"/>
  <c r="D35" i="7"/>
  <c r="D34" i="7"/>
  <c r="D33" i="7"/>
  <c r="D32" i="7"/>
  <c r="E94" i="2"/>
  <c r="D94" i="2"/>
  <c r="G89" i="2"/>
  <c r="G90" i="2" s="1"/>
  <c r="H90" i="2" s="1"/>
  <c r="P30" i="2"/>
  <c r="C40" i="2" l="1"/>
  <c r="N32" i="2" s="1"/>
  <c r="H33" i="2"/>
  <c r="N33" i="2" l="1"/>
  <c r="N34" i="2" s="1"/>
  <c r="B34" i="2" s="1"/>
  <c r="K30" i="2"/>
  <c r="I19" i="2"/>
  <c r="J36" i="2" l="1"/>
  <c r="K33" i="2" l="1"/>
  <c r="K36" i="2"/>
  <c r="K34" i="2"/>
  <c r="K37" i="2" l="1"/>
  <c r="B32" i="2" s="1"/>
  <c r="B36" i="2" s="1"/>
  <c r="C48" i="2" s="1"/>
  <c r="B50" i="2" l="1"/>
  <c r="D34" i="2"/>
  <c r="D33" i="2"/>
  <c r="D32" i="2"/>
  <c r="D35" i="2"/>
  <c r="B47" i="2"/>
  <c r="B52" i="2"/>
  <c r="D52" i="2" s="1"/>
</calcChain>
</file>

<file path=xl/sharedStrings.xml><?xml version="1.0" encoding="utf-8"?>
<sst xmlns="http://schemas.openxmlformats.org/spreadsheetml/2006/main" count="408" uniqueCount="123">
  <si>
    <t xml:space="preserve"> </t>
  </si>
  <si>
    <t>kW</t>
  </si>
  <si>
    <t>air flow</t>
  </si>
  <si>
    <t>airchanges/h</t>
  </si>
  <si>
    <t>pool area</t>
  </si>
  <si>
    <t>ceiling ht</t>
  </si>
  <si>
    <t>air Cp</t>
  </si>
  <si>
    <t>MJ/m3-C</t>
  </si>
  <si>
    <t>LH20/m3</t>
  </si>
  <si>
    <t>building</t>
  </si>
  <si>
    <t>roof</t>
  </si>
  <si>
    <t>area</t>
  </si>
  <si>
    <t>glazing %</t>
  </si>
  <si>
    <t>walls gross</t>
  </si>
  <si>
    <t>Rval</t>
  </si>
  <si>
    <t>Tdiff</t>
  </si>
  <si>
    <t>radiation</t>
  </si>
  <si>
    <t>watts</t>
  </si>
  <si>
    <t>but inc COP</t>
  </si>
  <si>
    <t>bldg</t>
  </si>
  <si>
    <t>exhaust air</t>
  </si>
  <si>
    <t>net impact</t>
  </si>
  <si>
    <t>ground</t>
  </si>
  <si>
    <t>watts/m2</t>
  </si>
  <si>
    <t>tot W</t>
  </si>
  <si>
    <t>tot kW</t>
  </si>
  <si>
    <t>tot kWe</t>
  </si>
  <si>
    <t>if exhaust air energy recovered</t>
  </si>
  <si>
    <t>kW gas</t>
  </si>
  <si>
    <t>MJ/h gas</t>
  </si>
  <si>
    <t>NOTES: backwashing of filters seems to use a lot of water - not clear if this is heated water. If so shifting to use of cold water could save a lot of energy</t>
  </si>
  <si>
    <t xml:space="preserve">Net electricity for pool hall= </t>
  </si>
  <si>
    <t>losses from heat distribution system</t>
  </si>
  <si>
    <t>Assumptions to simplify this calculation</t>
  </si>
  <si>
    <t>building heat loss is additional to potential heat recoverable from exhaust air - ie all space heating sourced from pool heat loss</t>
  </si>
  <si>
    <t>ground heat loss</t>
  </si>
  <si>
    <t>check</t>
  </si>
  <si>
    <t>(1/COP)*(heat loss from pool to pool hall and ground + heat loss from building)</t>
  </si>
  <si>
    <t>(very simplistic to get ballpark of annual average)</t>
  </si>
  <si>
    <t>Thermal loads kW 20C ambient no sun</t>
  </si>
  <si>
    <t>Aquatic Centre pool hall</t>
  </si>
  <si>
    <t>only looking at pool hall, not rest of centre's activities</t>
  </si>
  <si>
    <t>outputs from sub-models</t>
  </si>
  <si>
    <t>kW/m2 my est of 'typical' per m2 of pool from Duverge</t>
  </si>
  <si>
    <t>other (lights, equipt, people etc)</t>
  </si>
  <si>
    <t>fraction</t>
  </si>
  <si>
    <t>assuming thermal energy recoverable=thermal energy added to exhaust air</t>
  </si>
  <si>
    <t>glazing area*</t>
  </si>
  <si>
    <t>(* if low-e double glazing, Rval=0.37)</t>
  </si>
  <si>
    <t>Pool heat capacity</t>
  </si>
  <si>
    <t>length</t>
  </si>
  <si>
    <t>depth</t>
  </si>
  <si>
    <t>width</t>
  </si>
  <si>
    <t>vol</t>
  </si>
  <si>
    <t>m3</t>
  </si>
  <si>
    <t>MJ/m3</t>
  </si>
  <si>
    <t>for 1C change</t>
  </si>
  <si>
    <t>MJ</t>
  </si>
  <si>
    <t>heat loss/m2</t>
  </si>
  <si>
    <t>time for 1 C change</t>
  </si>
  <si>
    <t>hours</t>
  </si>
  <si>
    <t>MJ/h</t>
  </si>
  <si>
    <t>HP kWe</t>
  </si>
  <si>
    <t>kWth</t>
  </si>
  <si>
    <t>COP</t>
  </si>
  <si>
    <t>Time to heat 1C</t>
  </si>
  <si>
    <t>for 15C rise</t>
  </si>
  <si>
    <t>days</t>
  </si>
  <si>
    <t>heat loss</t>
  </si>
  <si>
    <t>when no cover</t>
  </si>
  <si>
    <t>Heat loss to ground may be much higher for St Kilda due to high water table</t>
  </si>
  <si>
    <t>hall floor area</t>
  </si>
  <si>
    <t>If single glazed with condensation or air movement Rval=0.086</t>
  </si>
  <si>
    <t>Heat pump net COP</t>
  </si>
  <si>
    <t>(inc pumps fans distribn loss)</t>
  </si>
  <si>
    <t>Water vapour in air</t>
  </si>
  <si>
    <t>Temp</t>
  </si>
  <si>
    <t>This is very rough modelling of pool and pool hall heating only. EnergyPlus includes a detailed pool modelling module</t>
  </si>
  <si>
    <t>This ignores many aspects and makes lots of assumptions:</t>
  </si>
  <si>
    <t>replacing energy lost with backwashing water and possible Reverse Osmosis recovery of waste water for reuse</t>
  </si>
  <si>
    <t>no heat from lights, equipment or electricity use by lights, appliances, equipment</t>
  </si>
  <si>
    <t>Guesstimate of energy overheads from fans, pumps, etc included by reducing net COP of heat pump or efficiency of gas boiler</t>
  </si>
  <si>
    <t>energy content of exhaust air = energy content of incoming air + incremental heat if no heat recovery</t>
  </si>
  <si>
    <t>incremental energy content of exhaust air = sensible heat +latent heat for increase in water vapour content from outdoor temp/humidity to 60% at 30C</t>
  </si>
  <si>
    <t>exhaust air at 30C, 60% humidity unless heat recovery, assumed to return it to ambient conditions</t>
  </si>
  <si>
    <t>Pool surface area 600m2 and pool hall area 1200m2</t>
  </si>
  <si>
    <t>(1.2 kg/m3 and 1 kJ/m3 Cp = 1.2 kJ/m3)</t>
  </si>
  <si>
    <t>humidity%</t>
  </si>
  <si>
    <t>kJ H2O/kg air</t>
  </si>
  <si>
    <t>enthalpy H2O</t>
  </si>
  <si>
    <t>enth H2O+(air from base 0C)</t>
  </si>
  <si>
    <t>kJ/kg air</t>
  </si>
  <si>
    <t>Tot Cp kJ/m3</t>
  </si>
  <si>
    <t>Exhaust air energy</t>
  </si>
  <si>
    <t>Heat loss to ground is sensitive to water table and soil type: may be much bigger at St Kilda site</t>
  </si>
  <si>
    <t>walls net area</t>
  </si>
  <si>
    <t>Air in</t>
  </si>
  <si>
    <t>Air out</t>
  </si>
  <si>
    <t>hum%</t>
  </si>
  <si>
    <t>kJ/m3</t>
  </si>
  <si>
    <t>pool hall volume</t>
  </si>
  <si>
    <t>pool hall vol m3</t>
  </si>
  <si>
    <t>air changes/hour</t>
  </si>
  <si>
    <t>Air vol m3/hr</t>
  </si>
  <si>
    <t>Air vol/sec</t>
  </si>
  <si>
    <t>net energy/sec</t>
  </si>
  <si>
    <t>net energyloss/m3</t>
  </si>
  <si>
    <t>solar gain/m2</t>
  </si>
  <si>
    <t>glazing % with solar gain</t>
  </si>
  <si>
    <t>TOT gain</t>
  </si>
  <si>
    <t>from bldg calc</t>
  </si>
  <si>
    <t>Heating of pool hall area</t>
  </si>
  <si>
    <t>Assuming no heat recovery</t>
  </si>
  <si>
    <t>assume length 3 x width of pool hall floor dimensions</t>
  </si>
  <si>
    <t>Net heat required</t>
  </si>
  <si>
    <t>kW thermal</t>
  </si>
  <si>
    <t>No heat recovery</t>
  </si>
  <si>
    <t>if gas 80% eff no heat recovery</t>
  </si>
  <si>
    <t>tot thermal energy required</t>
  </si>
  <si>
    <t>walls and floor</t>
  </si>
  <si>
    <t>HOT HUMID AIR</t>
  </si>
  <si>
    <t>TOT SOL gain</t>
  </si>
  <si>
    <t>TOT sol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</si>
</sst>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5" fontId="0" fillId="0" borderId="0" xfId="0" applyNumberFormat="1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1" fontId="0" fillId="2" borderId="0" xfId="0" applyNumberFormat="1" applyFill="1" applyAlignment="1">
      <alignment horizontal="left" indent="3"/>
    </xf>
    <xf numFmtId="0" fontId="1" fillId="0" borderId="0" xfId="0" applyFont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/>
    <xf numFmtId="164" fontId="0" fillId="0" borderId="0" xfId="0" applyNumberFormat="1"/>
    <xf numFmtId="164" fontId="0" fillId="3" borderId="0" xfId="0" applyNumberFormat="1" applyFill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153644</xdr:colOff>
      <xdr:row>1</xdr:row>
      <xdr:rowOff>101600</xdr:rowOff>
    </xdr:from>
    <xdr:to>
      <xdr:col>6</xdr:col>
      <xdr:colOff>453505</xdr:colOff>
      <xdr:row>19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7B2156-810A-43A9-BE28-635503677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44" y="285750"/>
          <a:ext cx="5983111" cy="3365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298450</xdr:colOff>
      <xdr:row>56</xdr:row>
      <xdr:rowOff>127000</xdr:rowOff>
    </xdr:from>
    <xdr:to>
      <xdr:col>20</xdr:col>
      <xdr:colOff>160645</xdr:colOff>
      <xdr:row>72</xdr:row>
      <xdr:rowOff>41681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F8FD6066-DE79-475E-84E5-050EC0A8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4400" y="3994150"/>
          <a:ext cx="5723245" cy="286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153644</xdr:colOff>
      <xdr:row>1</xdr:row>
      <xdr:rowOff>101600</xdr:rowOff>
    </xdr:from>
    <xdr:to>
      <xdr:col>6</xdr:col>
      <xdr:colOff>453505</xdr:colOff>
      <xdr:row>19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B3F166-DD73-4966-A5B3-D7FBE4DCE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44" y="285750"/>
          <a:ext cx="5983111" cy="3365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298450</xdr:colOff>
      <xdr:row>56</xdr:row>
      <xdr:rowOff>127000</xdr:rowOff>
    </xdr:from>
    <xdr:to>
      <xdr:col>20</xdr:col>
      <xdr:colOff>160644</xdr:colOff>
      <xdr:row>72</xdr:row>
      <xdr:rowOff>41681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08115C5A-D1BC-450B-89C0-24DB4BE95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0991850"/>
          <a:ext cx="5723245" cy="286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153644</xdr:colOff>
      <xdr:row>1</xdr:row>
      <xdr:rowOff>101600</xdr:rowOff>
    </xdr:from>
    <xdr:to>
      <xdr:col>6</xdr:col>
      <xdr:colOff>453505</xdr:colOff>
      <xdr:row>19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603355-8DB3-458E-B25E-68CC6321E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44" y="285750"/>
          <a:ext cx="5983111" cy="3365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298450</xdr:colOff>
      <xdr:row>56</xdr:row>
      <xdr:rowOff>127000</xdr:rowOff>
    </xdr:from>
    <xdr:to>
      <xdr:col>20</xdr:col>
      <xdr:colOff>160645</xdr:colOff>
      <xdr:row>72</xdr:row>
      <xdr:rowOff>41681</xdr:rowOff>
    </xdr:to>
    <xdr:pic>
      <xdr:nvPicPr>
        <xdr:cNvPr id="3" name="Picture 2" descr="See the source image">
          <a:extLst>
            <a:ext uri="{FF2B5EF4-FFF2-40B4-BE49-F238E27FC236}">
              <a16:creationId xmlns:a16="http://schemas.microsoft.com/office/drawing/2014/main" id="{EEB5AA0B-9CCD-4AD6-AC48-1AACF799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10991850"/>
          <a:ext cx="5723245" cy="2861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2B63-4FC6-4639-BACB-9ED13D52B95F}">
  <dimension ref="A1:P95"/>
  <sheetViews>
    <sheetView topLeftCell="A29" zoomScale="78" zoomScaleNormal="78" workbookViewId="0">
      <selection activeCell="R36" sqref="R36"/>
    </sheetView>
  </sheetViews>
  <sheetFormatPr defaultRowHeight="15" x14ac:dyDescent="0.25"/>
  <cols>
    <col min="1" max="1" width="25.85546875" customWidth="1"/>
    <col min="2" max="2" width="12.140625" customWidth="1"/>
    <col min="3" max="3" width="10.140625" customWidth="1"/>
    <col min="5" max="5" width="9.85546875" customWidth="1"/>
    <col min="6" max="6" width="14.5703125" customWidth="1"/>
    <col min="14" max="14" width="10.5703125" customWidth="1"/>
    <col min="15" max="15" width="12.140625" customWidth="1"/>
  </cols>
  <sheetData>
    <row r="1" spans="1:8" x14ac:dyDescent="0.25">
      <c r="A1" t="s">
        <v>40</v>
      </c>
      <c r="C1" t="s">
        <v>77</v>
      </c>
    </row>
    <row r="3" spans="1:8" x14ac:dyDescent="0.25">
      <c r="H3" t="s">
        <v>78</v>
      </c>
    </row>
    <row r="4" spans="1:8" x14ac:dyDescent="0.25">
      <c r="H4" t="s">
        <v>79</v>
      </c>
    </row>
    <row r="5" spans="1:8" x14ac:dyDescent="0.25">
      <c r="H5" t="s">
        <v>32</v>
      </c>
    </row>
    <row r="6" spans="1:8" x14ac:dyDescent="0.25">
      <c r="H6" t="s">
        <v>80</v>
      </c>
    </row>
    <row r="7" spans="1:8" x14ac:dyDescent="0.25">
      <c r="H7" t="s">
        <v>41</v>
      </c>
    </row>
    <row r="8" spans="1:8" x14ac:dyDescent="0.25">
      <c r="H8" t="s">
        <v>81</v>
      </c>
    </row>
    <row r="9" spans="1:8" x14ac:dyDescent="0.25">
      <c r="H9" t="s">
        <v>85</v>
      </c>
    </row>
    <row r="11" spans="1:8" x14ac:dyDescent="0.25">
      <c r="H11" t="s">
        <v>33</v>
      </c>
    </row>
    <row r="12" spans="1:8" x14ac:dyDescent="0.25">
      <c r="H12" t="s">
        <v>82</v>
      </c>
    </row>
    <row r="13" spans="1:8" x14ac:dyDescent="0.25">
      <c r="H13" t="s">
        <v>83</v>
      </c>
    </row>
    <row r="14" spans="1:8" x14ac:dyDescent="0.25">
      <c r="H14" t="s">
        <v>0</v>
      </c>
    </row>
    <row r="15" spans="1:8" x14ac:dyDescent="0.25">
      <c r="H15" t="s">
        <v>34</v>
      </c>
    </row>
    <row r="16" spans="1:8" x14ac:dyDescent="0.25">
      <c r="H16" t="s">
        <v>84</v>
      </c>
    </row>
    <row r="17" spans="1:16" x14ac:dyDescent="0.25">
      <c r="H17" t="s">
        <v>94</v>
      </c>
    </row>
    <row r="19" spans="1:16" x14ac:dyDescent="0.25">
      <c r="H19" t="s">
        <v>36</v>
      </c>
      <c r="I19">
        <f>3500/8000</f>
        <v>0.4375</v>
      </c>
      <c r="J19" t="s">
        <v>43</v>
      </c>
    </row>
    <row r="20" spans="1:16" x14ac:dyDescent="0.25">
      <c r="I20" t="s">
        <v>18</v>
      </c>
    </row>
    <row r="22" spans="1:16" x14ac:dyDescent="0.25">
      <c r="A22" t="s">
        <v>31</v>
      </c>
      <c r="D22" t="s">
        <v>37</v>
      </c>
    </row>
    <row r="23" spans="1:16" x14ac:dyDescent="0.25">
      <c r="A23" t="s">
        <v>38</v>
      </c>
    </row>
    <row r="24" spans="1:16" x14ac:dyDescent="0.25">
      <c r="A24" t="s">
        <v>30</v>
      </c>
    </row>
    <row r="25" spans="1:16" x14ac:dyDescent="0.25">
      <c r="A25" t="s">
        <v>0</v>
      </c>
    </row>
    <row r="29" spans="1:16" x14ac:dyDescent="0.25">
      <c r="A29" s="6" t="s">
        <v>111</v>
      </c>
      <c r="F29" s="6" t="s">
        <v>9</v>
      </c>
      <c r="G29" t="s">
        <v>11</v>
      </c>
      <c r="H29" t="s">
        <v>14</v>
      </c>
      <c r="I29" t="s">
        <v>15</v>
      </c>
      <c r="J29" t="s">
        <v>16</v>
      </c>
      <c r="K29" t="s">
        <v>17</v>
      </c>
      <c r="M29" t="s">
        <v>70</v>
      </c>
    </row>
    <row r="30" spans="1:16" x14ac:dyDescent="0.25">
      <c r="A30" t="s">
        <v>42</v>
      </c>
      <c r="F30" t="s">
        <v>10</v>
      </c>
      <c r="G30">
        <v>1200</v>
      </c>
      <c r="H30">
        <v>1.5</v>
      </c>
      <c r="I30">
        <v>10</v>
      </c>
      <c r="K30">
        <f>G30*I30/H30</f>
        <v>8000</v>
      </c>
      <c r="M30" s="6" t="s">
        <v>35</v>
      </c>
      <c r="P30">
        <f>1/2.7</f>
        <v>0.37037037037037035</v>
      </c>
    </row>
    <row r="31" spans="1:16" x14ac:dyDescent="0.25">
      <c r="A31" s="3" t="s">
        <v>39</v>
      </c>
      <c r="B31" s="3"/>
      <c r="C31" s="3"/>
      <c r="D31" t="s">
        <v>45</v>
      </c>
      <c r="F31" t="s">
        <v>13</v>
      </c>
      <c r="G31">
        <f>(G$30/3)^0.5*8*C$41</f>
        <v>960</v>
      </c>
      <c r="H31" t="s">
        <v>113</v>
      </c>
      <c r="M31" t="s">
        <v>23</v>
      </c>
      <c r="N31">
        <v>15</v>
      </c>
    </row>
    <row r="32" spans="1:16" x14ac:dyDescent="0.25">
      <c r="A32" s="3" t="s">
        <v>19</v>
      </c>
      <c r="B32" s="7">
        <f>K37</f>
        <v>59.648000000000003</v>
      </c>
      <c r="C32" s="3"/>
      <c r="D32" s="1">
        <f>B32/B$36</f>
        <v>0.11291879796606832</v>
      </c>
      <c r="F32" t="s">
        <v>12</v>
      </c>
      <c r="G32">
        <v>30</v>
      </c>
      <c r="M32" t="s">
        <v>4</v>
      </c>
      <c r="N32">
        <f>(50*2+12*2)*1.5+C40</f>
        <v>786</v>
      </c>
    </row>
    <row r="33" spans="1:16" x14ac:dyDescent="0.25">
      <c r="A33" s="3" t="s">
        <v>20</v>
      </c>
      <c r="B33" s="7">
        <f>I50</f>
        <v>466.80000000000007</v>
      </c>
      <c r="C33" s="3" t="s">
        <v>21</v>
      </c>
      <c r="D33" s="1">
        <f>B33/B$36</f>
        <v>0.88369257796674983</v>
      </c>
      <c r="F33" t="s">
        <v>47</v>
      </c>
      <c r="G33">
        <f>G31*G32/100</f>
        <v>288</v>
      </c>
      <c r="H33" s="1">
        <f>1/11.6</f>
        <v>8.6206896551724144E-2</v>
      </c>
      <c r="I33">
        <v>10</v>
      </c>
      <c r="K33">
        <f t="shared" ref="K33:K34" si="0">G33*I33/H33</f>
        <v>33408</v>
      </c>
      <c r="M33" t="s">
        <v>24</v>
      </c>
      <c r="N33">
        <f>N31*N32</f>
        <v>11790</v>
      </c>
    </row>
    <row r="34" spans="1:16" x14ac:dyDescent="0.25">
      <c r="A34" s="3" t="s">
        <v>22</v>
      </c>
      <c r="B34" s="7">
        <f>N34</f>
        <v>11.79</v>
      </c>
      <c r="C34" s="3"/>
      <c r="D34" s="1">
        <f>B34/B$36</f>
        <v>2.2319484777694899E-2</v>
      </c>
      <c r="F34" t="s">
        <v>95</v>
      </c>
      <c r="G34">
        <f>G30-G33</f>
        <v>912</v>
      </c>
      <c r="H34">
        <v>0.5</v>
      </c>
      <c r="I34">
        <v>10</v>
      </c>
      <c r="K34">
        <f t="shared" si="0"/>
        <v>18240</v>
      </c>
      <c r="M34" t="s">
        <v>25</v>
      </c>
      <c r="N34" s="10">
        <f>N33/1000</f>
        <v>11.79</v>
      </c>
    </row>
    <row r="35" spans="1:16" ht="30" x14ac:dyDescent="0.25">
      <c r="A35" s="8" t="s">
        <v>44</v>
      </c>
      <c r="B35" s="7">
        <v>-10</v>
      </c>
      <c r="C35" s="3"/>
      <c r="D35" s="1">
        <f>B35/B$36</f>
        <v>-1.8930860710513062E-2</v>
      </c>
      <c r="F35" t="s">
        <v>107</v>
      </c>
      <c r="J35">
        <v>500</v>
      </c>
    </row>
    <row r="36" spans="1:16" x14ac:dyDescent="0.25">
      <c r="A36" s="3" t="s">
        <v>118</v>
      </c>
      <c r="B36" s="7">
        <f>SUM(B32:B35)</f>
        <v>528.23800000000006</v>
      </c>
      <c r="C36" s="3" t="s">
        <v>1</v>
      </c>
      <c r="F36" t="s">
        <v>108</v>
      </c>
      <c r="H36" s="10">
        <v>0</v>
      </c>
      <c r="I36" t="s">
        <v>109</v>
      </c>
      <c r="J36">
        <f>-G33*J35*H36/100</f>
        <v>0</v>
      </c>
      <c r="K36">
        <f>J36</f>
        <v>0</v>
      </c>
    </row>
    <row r="37" spans="1:16" x14ac:dyDescent="0.25">
      <c r="A37" s="3" t="s">
        <v>112</v>
      </c>
      <c r="K37" s="10">
        <f>SUM(K30:K36)/1000</f>
        <v>59.648000000000003</v>
      </c>
      <c r="L37" t="s">
        <v>1</v>
      </c>
      <c r="O37" t="s">
        <v>0</v>
      </c>
    </row>
    <row r="38" spans="1:16" x14ac:dyDescent="0.25">
      <c r="F38" t="s">
        <v>48</v>
      </c>
    </row>
    <row r="39" spans="1:16" x14ac:dyDescent="0.25">
      <c r="A39" s="6" t="s">
        <v>2</v>
      </c>
      <c r="B39" t="s">
        <v>3</v>
      </c>
      <c r="C39">
        <v>6</v>
      </c>
      <c r="F39" t="s">
        <v>72</v>
      </c>
    </row>
    <row r="40" spans="1:16" x14ac:dyDescent="0.25">
      <c r="B40" t="s">
        <v>4</v>
      </c>
      <c r="C40">
        <f>12*50</f>
        <v>600</v>
      </c>
      <c r="E40" t="s">
        <v>0</v>
      </c>
    </row>
    <row r="41" spans="1:16" x14ac:dyDescent="0.25">
      <c r="B41" t="s">
        <v>5</v>
      </c>
      <c r="C41">
        <v>6</v>
      </c>
      <c r="E41" t="s">
        <v>8</v>
      </c>
      <c r="F41" s="6" t="s">
        <v>93</v>
      </c>
      <c r="L41" t="s">
        <v>6</v>
      </c>
      <c r="M41">
        <v>1.1999999999999999E-3</v>
      </c>
      <c r="N41" t="s">
        <v>7</v>
      </c>
      <c r="O41" t="s">
        <v>86</v>
      </c>
    </row>
    <row r="42" spans="1:16" x14ac:dyDescent="0.25">
      <c r="B42" t="s">
        <v>100</v>
      </c>
      <c r="C42">
        <f>C43*C41</f>
        <v>7200</v>
      </c>
      <c r="D42" t="s">
        <v>54</v>
      </c>
      <c r="G42" t="s">
        <v>76</v>
      </c>
      <c r="H42" t="s">
        <v>98</v>
      </c>
      <c r="I42" t="s">
        <v>99</v>
      </c>
      <c r="K42" s="6" t="s">
        <v>75</v>
      </c>
      <c r="M42" t="s">
        <v>89</v>
      </c>
      <c r="N42" t="s">
        <v>90</v>
      </c>
    </row>
    <row r="43" spans="1:16" x14ac:dyDescent="0.25">
      <c r="B43" t="s">
        <v>71</v>
      </c>
      <c r="C43">
        <f>G30</f>
        <v>1200</v>
      </c>
      <c r="D43" t="s">
        <v>110</v>
      </c>
      <c r="F43" t="s">
        <v>96</v>
      </c>
      <c r="G43">
        <v>20</v>
      </c>
      <c r="H43">
        <v>40</v>
      </c>
      <c r="I43">
        <v>33</v>
      </c>
      <c r="K43" t="s">
        <v>76</v>
      </c>
      <c r="L43" t="s">
        <v>87</v>
      </c>
      <c r="M43" t="s">
        <v>88</v>
      </c>
      <c r="N43" t="s">
        <v>91</v>
      </c>
      <c r="O43" s="10" t="s">
        <v>92</v>
      </c>
    </row>
    <row r="44" spans="1:16" x14ac:dyDescent="0.25">
      <c r="F44" t="s">
        <v>97</v>
      </c>
      <c r="G44">
        <v>30</v>
      </c>
      <c r="H44">
        <v>60</v>
      </c>
      <c r="I44">
        <v>71.900000000000006</v>
      </c>
      <c r="K44">
        <v>40</v>
      </c>
      <c r="L44">
        <v>60</v>
      </c>
      <c r="M44">
        <f>126.4*(L44/100)</f>
        <v>75.84</v>
      </c>
      <c r="N44">
        <f t="shared" ref="N44:N49" si="1">(K44-K$50)*M$41*1000</f>
        <v>41.999999999999993</v>
      </c>
      <c r="O44" s="12">
        <f>M44+N44</f>
        <v>117.84</v>
      </c>
    </row>
    <row r="45" spans="1:16" x14ac:dyDescent="0.25">
      <c r="A45" s="3" t="s">
        <v>73</v>
      </c>
      <c r="B45" s="3">
        <v>8</v>
      </c>
      <c r="C45" t="s">
        <v>74</v>
      </c>
      <c r="F45" t="s">
        <v>106</v>
      </c>
      <c r="I45">
        <f>I44-I43</f>
        <v>38.900000000000006</v>
      </c>
      <c r="K45">
        <v>40</v>
      </c>
      <c r="L45">
        <v>20</v>
      </c>
      <c r="M45">
        <f>126.4*(L45/100)</f>
        <v>25.28</v>
      </c>
      <c r="N45">
        <f t="shared" si="1"/>
        <v>41.999999999999993</v>
      </c>
      <c r="O45" s="12">
        <f t="shared" ref="O45" si="2">M45+N45</f>
        <v>67.28</v>
      </c>
    </row>
    <row r="46" spans="1:16" x14ac:dyDescent="0.25">
      <c r="A46" s="3" t="s">
        <v>116</v>
      </c>
      <c r="B46" s="3"/>
      <c r="F46" t="s">
        <v>101</v>
      </c>
      <c r="I46">
        <f>C42</f>
        <v>7200</v>
      </c>
      <c r="K46">
        <v>30</v>
      </c>
      <c r="L46">
        <v>60</v>
      </c>
      <c r="M46">
        <f>69.8*(L46/100)</f>
        <v>41.879999999999995</v>
      </c>
      <c r="N46">
        <f t="shared" si="1"/>
        <v>30</v>
      </c>
      <c r="O46" s="12">
        <f>M46+N46</f>
        <v>71.88</v>
      </c>
      <c r="P46" t="s">
        <v>20</v>
      </c>
    </row>
    <row r="47" spans="1:16" x14ac:dyDescent="0.25">
      <c r="A47" s="3" t="s">
        <v>26</v>
      </c>
      <c r="B47" s="4">
        <f>B36/B45</f>
        <v>66.029750000000007</v>
      </c>
      <c r="F47" t="s">
        <v>102</v>
      </c>
      <c r="I47">
        <f>C39</f>
        <v>6</v>
      </c>
      <c r="K47">
        <v>30</v>
      </c>
      <c r="L47">
        <v>40</v>
      </c>
      <c r="M47">
        <f>69.8*(L47/100)</f>
        <v>27.92</v>
      </c>
      <c r="N47">
        <f t="shared" si="1"/>
        <v>30</v>
      </c>
      <c r="O47" s="12">
        <f>M47+N47</f>
        <v>57.92</v>
      </c>
    </row>
    <row r="48" spans="1:16" ht="60" x14ac:dyDescent="0.25">
      <c r="A48" s="9" t="s">
        <v>46</v>
      </c>
      <c r="B48" s="13" t="s">
        <v>114</v>
      </c>
      <c r="C48" s="11">
        <f>B36-B33</f>
        <v>61.437999999999988</v>
      </c>
      <c r="D48" t="s">
        <v>115</v>
      </c>
      <c r="F48" t="s">
        <v>103</v>
      </c>
      <c r="I48">
        <f>I46*I47</f>
        <v>43200</v>
      </c>
      <c r="K48">
        <v>20</v>
      </c>
      <c r="L48">
        <v>40</v>
      </c>
      <c r="M48">
        <f>37.43*(L48/100)</f>
        <v>14.972000000000001</v>
      </c>
      <c r="N48">
        <f t="shared" si="1"/>
        <v>18</v>
      </c>
      <c r="O48" s="12">
        <f>M48+N48</f>
        <v>32.972000000000001</v>
      </c>
    </row>
    <row r="49" spans="1:15" x14ac:dyDescent="0.25">
      <c r="A49" s="3" t="s">
        <v>27</v>
      </c>
      <c r="B49" s="3"/>
      <c r="C49" s="3"/>
      <c r="F49" t="s">
        <v>104</v>
      </c>
      <c r="I49">
        <f>I48/3600</f>
        <v>12</v>
      </c>
      <c r="K49">
        <v>10</v>
      </c>
      <c r="L49">
        <v>40</v>
      </c>
      <c r="M49">
        <f>19.3*(L49/100)</f>
        <v>7.7200000000000006</v>
      </c>
      <c r="N49">
        <f t="shared" si="1"/>
        <v>5.9999999999999991</v>
      </c>
      <c r="O49" s="12">
        <f>M49+N49</f>
        <v>13.719999999999999</v>
      </c>
    </row>
    <row r="50" spans="1:15" x14ac:dyDescent="0.25">
      <c r="A50" s="3" t="s">
        <v>26</v>
      </c>
      <c r="B50" s="5">
        <f>(B36-B33)/B45</f>
        <v>7.6797499999999985</v>
      </c>
      <c r="C50" s="3"/>
      <c r="F50" t="s">
        <v>105</v>
      </c>
      <c r="H50" t="s">
        <v>1</v>
      </c>
      <c r="I50" s="10">
        <f>I45*I49</f>
        <v>466.80000000000007</v>
      </c>
      <c r="K50">
        <v>5</v>
      </c>
      <c r="L50">
        <v>40</v>
      </c>
      <c r="M50">
        <f>13.6*(L50/100)</f>
        <v>5.44</v>
      </c>
      <c r="N50">
        <v>0</v>
      </c>
      <c r="O50" s="12">
        <f>M50+N50</f>
        <v>5.44</v>
      </c>
    </row>
    <row r="51" spans="1:15" x14ac:dyDescent="0.25">
      <c r="I51" s="10"/>
    </row>
    <row r="52" spans="1:15" x14ac:dyDescent="0.25">
      <c r="A52" t="s">
        <v>117</v>
      </c>
      <c r="B52" s="2">
        <f>B36/0.8</f>
        <v>660.29750000000001</v>
      </c>
      <c r="C52" t="s">
        <v>28</v>
      </c>
      <c r="D52" s="2">
        <f>B52*3.6</f>
        <v>2377.0709999999999</v>
      </c>
      <c r="E52" t="s">
        <v>29</v>
      </c>
    </row>
    <row r="56" spans="1:15" x14ac:dyDescent="0.25">
      <c r="M56" t="s">
        <v>0</v>
      </c>
    </row>
    <row r="85" spans="1:9" x14ac:dyDescent="0.25">
      <c r="F85" t="s">
        <v>68</v>
      </c>
      <c r="G85">
        <f>300*B93/1000*3.6</f>
        <v>540</v>
      </c>
      <c r="H85" t="s">
        <v>69</v>
      </c>
    </row>
    <row r="86" spans="1:9" x14ac:dyDescent="0.25">
      <c r="A86" t="s">
        <v>49</v>
      </c>
    </row>
    <row r="87" spans="1:9" x14ac:dyDescent="0.25">
      <c r="A87" t="s">
        <v>50</v>
      </c>
      <c r="B87">
        <v>50</v>
      </c>
      <c r="E87" t="s">
        <v>64</v>
      </c>
      <c r="F87">
        <v>8</v>
      </c>
    </row>
    <row r="88" spans="1:9" x14ac:dyDescent="0.25">
      <c r="A88" t="s">
        <v>51</v>
      </c>
      <c r="B88">
        <v>1.8</v>
      </c>
      <c r="D88" t="s">
        <v>62</v>
      </c>
      <c r="E88" t="s">
        <v>63</v>
      </c>
      <c r="F88" t="s">
        <v>61</v>
      </c>
      <c r="G88" t="s">
        <v>65</v>
      </c>
    </row>
    <row r="89" spans="1:9" x14ac:dyDescent="0.25">
      <c r="A89" t="s">
        <v>52</v>
      </c>
      <c r="B89">
        <v>10</v>
      </c>
      <c r="D89">
        <v>25</v>
      </c>
      <c r="E89">
        <f>D89*F87</f>
        <v>200</v>
      </c>
      <c r="F89">
        <f>E89*3.6</f>
        <v>720</v>
      </c>
      <c r="G89">
        <f>B92/F89</f>
        <v>5.25</v>
      </c>
      <c r="H89" t="s">
        <v>60</v>
      </c>
    </row>
    <row r="90" spans="1:9" x14ac:dyDescent="0.25">
      <c r="A90" t="s">
        <v>53</v>
      </c>
      <c r="B90">
        <f>B87*B88*B89</f>
        <v>900</v>
      </c>
      <c r="C90" t="s">
        <v>54</v>
      </c>
      <c r="F90" t="s">
        <v>66</v>
      </c>
      <c r="G90">
        <f>G89*15</f>
        <v>78.75</v>
      </c>
      <c r="H90">
        <f>G90/24</f>
        <v>3.28125</v>
      </c>
      <c r="I90" t="s">
        <v>67</v>
      </c>
    </row>
    <row r="91" spans="1:9" x14ac:dyDescent="0.25">
      <c r="A91" t="s">
        <v>55</v>
      </c>
      <c r="B91">
        <v>4.2</v>
      </c>
    </row>
    <row r="92" spans="1:9" x14ac:dyDescent="0.25">
      <c r="A92" t="s">
        <v>56</v>
      </c>
      <c r="B92">
        <f>B90*B91</f>
        <v>3780</v>
      </c>
      <c r="C92" t="s">
        <v>57</v>
      </c>
      <c r="D92" t="s">
        <v>17</v>
      </c>
      <c r="E92" t="s">
        <v>61</v>
      </c>
    </row>
    <row r="93" spans="1:9" x14ac:dyDescent="0.25">
      <c r="A93" t="s">
        <v>11</v>
      </c>
      <c r="B93">
        <f>B87*B89</f>
        <v>500</v>
      </c>
      <c r="D93">
        <v>15</v>
      </c>
      <c r="E93">
        <f>D93/1000*3.6</f>
        <v>5.3999999999999999E-2</v>
      </c>
    </row>
    <row r="94" spans="1:9" x14ac:dyDescent="0.25">
      <c r="A94" t="s">
        <v>58</v>
      </c>
      <c r="B94">
        <v>15</v>
      </c>
      <c r="C94" t="s">
        <v>17</v>
      </c>
      <c r="D94">
        <f>D93*B93</f>
        <v>7500</v>
      </c>
      <c r="E94">
        <f>E93*B93</f>
        <v>27</v>
      </c>
    </row>
    <row r="95" spans="1:9" x14ac:dyDescent="0.25">
      <c r="A95" t="s">
        <v>59</v>
      </c>
      <c r="B95">
        <f>B92/E93/B93</f>
        <v>140</v>
      </c>
      <c r="C95" t="s">
        <v>60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98B7-84EE-45D5-A43F-250BA290E638}">
  <dimension ref="A1:P95"/>
  <sheetViews>
    <sheetView topLeftCell="A29" zoomScale="78" zoomScaleNormal="78" workbookViewId="0">
      <selection activeCell="N37" sqref="N37"/>
    </sheetView>
  </sheetViews>
  <sheetFormatPr defaultRowHeight="15" x14ac:dyDescent="0.25"/>
  <cols>
    <col min="1" max="1" width="25.85546875" customWidth="1"/>
    <col min="2" max="2" width="12.140625" customWidth="1"/>
    <col min="3" max="3" width="10.140625" customWidth="1"/>
    <col min="5" max="5" width="9.85546875" customWidth="1"/>
    <col min="6" max="6" width="14.5703125" customWidth="1"/>
    <col min="9" max="9" width="11.140625" customWidth="1"/>
    <col min="14" max="14" width="10.5703125" customWidth="1"/>
    <col min="15" max="15" width="12.140625" customWidth="1"/>
  </cols>
  <sheetData>
    <row r="1" spans="1:8" x14ac:dyDescent="0.25">
      <c r="A1" t="s">
        <v>40</v>
      </c>
      <c r="C1" t="s">
        <v>77</v>
      </c>
    </row>
    <row r="3" spans="1:8" x14ac:dyDescent="0.25">
      <c r="H3" t="s">
        <v>78</v>
      </c>
    </row>
    <row r="4" spans="1:8" x14ac:dyDescent="0.25">
      <c r="H4" t="s">
        <v>79</v>
      </c>
    </row>
    <row r="5" spans="1:8" x14ac:dyDescent="0.25">
      <c r="H5" t="s">
        <v>32</v>
      </c>
    </row>
    <row r="6" spans="1:8" x14ac:dyDescent="0.25">
      <c r="H6" t="s">
        <v>80</v>
      </c>
    </row>
    <row r="7" spans="1:8" x14ac:dyDescent="0.25">
      <c r="H7" t="s">
        <v>41</v>
      </c>
    </row>
    <row r="8" spans="1:8" x14ac:dyDescent="0.25">
      <c r="H8" t="s">
        <v>81</v>
      </c>
    </row>
    <row r="9" spans="1:8" x14ac:dyDescent="0.25">
      <c r="H9" t="s">
        <v>85</v>
      </c>
    </row>
    <row r="11" spans="1:8" x14ac:dyDescent="0.25">
      <c r="H11" t="s">
        <v>33</v>
      </c>
    </row>
    <row r="12" spans="1:8" x14ac:dyDescent="0.25">
      <c r="H12" t="s">
        <v>82</v>
      </c>
    </row>
    <row r="13" spans="1:8" x14ac:dyDescent="0.25">
      <c r="H13" t="s">
        <v>83</v>
      </c>
    </row>
    <row r="14" spans="1:8" x14ac:dyDescent="0.25">
      <c r="H14" t="s">
        <v>0</v>
      </c>
    </row>
    <row r="15" spans="1:8" x14ac:dyDescent="0.25">
      <c r="H15" t="s">
        <v>34</v>
      </c>
    </row>
    <row r="16" spans="1:8" x14ac:dyDescent="0.25">
      <c r="H16" t="s">
        <v>84</v>
      </c>
    </row>
    <row r="17" spans="1:16" x14ac:dyDescent="0.25">
      <c r="H17" t="s">
        <v>94</v>
      </c>
    </row>
    <row r="19" spans="1:16" x14ac:dyDescent="0.25">
      <c r="H19" t="s">
        <v>36</v>
      </c>
      <c r="I19">
        <f>3500/8000</f>
        <v>0.4375</v>
      </c>
      <c r="J19" t="s">
        <v>43</v>
      </c>
    </row>
    <row r="20" spans="1:16" x14ac:dyDescent="0.25">
      <c r="I20" t="s">
        <v>18</v>
      </c>
    </row>
    <row r="22" spans="1:16" x14ac:dyDescent="0.25">
      <c r="A22" t="s">
        <v>31</v>
      </c>
      <c r="D22" t="s">
        <v>37</v>
      </c>
    </row>
    <row r="23" spans="1:16" x14ac:dyDescent="0.25">
      <c r="A23" t="s">
        <v>38</v>
      </c>
    </row>
    <row r="24" spans="1:16" x14ac:dyDescent="0.25">
      <c r="A24" t="s">
        <v>30</v>
      </c>
    </row>
    <row r="25" spans="1:16" x14ac:dyDescent="0.25">
      <c r="A25" t="s">
        <v>0</v>
      </c>
    </row>
    <row r="29" spans="1:16" x14ac:dyDescent="0.25">
      <c r="A29" s="6" t="s">
        <v>111</v>
      </c>
      <c r="F29" s="6" t="s">
        <v>9</v>
      </c>
      <c r="G29" t="s">
        <v>11</v>
      </c>
      <c r="H29" t="s">
        <v>14</v>
      </c>
      <c r="I29" s="10" t="s">
        <v>15</v>
      </c>
      <c r="J29" t="s">
        <v>16</v>
      </c>
      <c r="K29" t="s">
        <v>17</v>
      </c>
      <c r="M29" t="s">
        <v>70</v>
      </c>
    </row>
    <row r="30" spans="1:16" x14ac:dyDescent="0.25">
      <c r="A30" t="s">
        <v>42</v>
      </c>
      <c r="F30" t="s">
        <v>10</v>
      </c>
      <c r="G30">
        <v>1200</v>
      </c>
      <c r="H30">
        <v>5</v>
      </c>
      <c r="I30">
        <v>25</v>
      </c>
      <c r="K30">
        <f>G30*I30/H30</f>
        <v>6000</v>
      </c>
      <c r="M30" s="6" t="s">
        <v>35</v>
      </c>
      <c r="P30">
        <f>1/2.7</f>
        <v>0.37037037037037035</v>
      </c>
    </row>
    <row r="31" spans="1:16" x14ac:dyDescent="0.25">
      <c r="A31" s="3" t="s">
        <v>39</v>
      </c>
      <c r="B31" s="3"/>
      <c r="C31" s="3"/>
      <c r="D31" t="s">
        <v>45</v>
      </c>
      <c r="F31" t="s">
        <v>13</v>
      </c>
      <c r="G31">
        <f>(G$30/3)^0.5*8*C$41</f>
        <v>960</v>
      </c>
      <c r="H31" t="s">
        <v>113</v>
      </c>
      <c r="M31" t="s">
        <v>23</v>
      </c>
      <c r="N31">
        <v>15</v>
      </c>
    </row>
    <row r="32" spans="1:16" x14ac:dyDescent="0.25">
      <c r="A32" s="3" t="s">
        <v>19</v>
      </c>
      <c r="B32" s="7">
        <f>K37</f>
        <v>59.52</v>
      </c>
      <c r="C32" s="3"/>
      <c r="D32" s="1">
        <f>B32/B$36</f>
        <v>6.9264875306932316E-2</v>
      </c>
      <c r="F32" t="s">
        <v>12</v>
      </c>
      <c r="G32">
        <v>15</v>
      </c>
      <c r="M32" t="s">
        <v>4</v>
      </c>
      <c r="N32">
        <f>(50*2+12*2)*1.5+C40</f>
        <v>786</v>
      </c>
      <c r="O32" t="s">
        <v>119</v>
      </c>
    </row>
    <row r="33" spans="1:16" x14ac:dyDescent="0.25">
      <c r="A33" s="3" t="s">
        <v>20</v>
      </c>
      <c r="B33" s="7">
        <f>I50</f>
        <v>798</v>
      </c>
      <c r="C33" s="3" t="s">
        <v>21</v>
      </c>
      <c r="D33" s="1">
        <f>B33/B$36</f>
        <v>0.92865205804657236</v>
      </c>
      <c r="F33" t="s">
        <v>47</v>
      </c>
      <c r="G33">
        <f>G31*G32/100</f>
        <v>144</v>
      </c>
      <c r="H33" s="1">
        <v>5</v>
      </c>
      <c r="I33">
        <v>25</v>
      </c>
      <c r="K33">
        <f t="shared" ref="K33:K34" si="0">G33*I33/H33</f>
        <v>720</v>
      </c>
      <c r="M33" t="s">
        <v>24</v>
      </c>
      <c r="N33">
        <f>N31*N32</f>
        <v>11790</v>
      </c>
    </row>
    <row r="34" spans="1:16" x14ac:dyDescent="0.25">
      <c r="A34" s="3" t="s">
        <v>22</v>
      </c>
      <c r="B34" s="7">
        <f>N34</f>
        <v>11.79</v>
      </c>
      <c r="C34" s="3"/>
      <c r="D34" s="1">
        <f>B34/B$36</f>
        <v>1.3720310481665523E-2</v>
      </c>
      <c r="F34" t="s">
        <v>95</v>
      </c>
      <c r="G34">
        <f>G30-G33</f>
        <v>1056</v>
      </c>
      <c r="H34">
        <v>0.5</v>
      </c>
      <c r="I34">
        <v>25</v>
      </c>
      <c r="K34">
        <f t="shared" si="0"/>
        <v>52800</v>
      </c>
      <c r="M34" t="s">
        <v>25</v>
      </c>
      <c r="N34" s="10">
        <f>N33/1000</f>
        <v>11.79</v>
      </c>
    </row>
    <row r="35" spans="1:16" ht="30" x14ac:dyDescent="0.25">
      <c r="A35" s="8" t="s">
        <v>44</v>
      </c>
      <c r="B35" s="7">
        <v>-10</v>
      </c>
      <c r="C35" s="3"/>
      <c r="D35" s="1">
        <f>B35/B$36</f>
        <v>-1.1637243835170079E-2</v>
      </c>
      <c r="F35" t="s">
        <v>107</v>
      </c>
      <c r="J35">
        <v>500</v>
      </c>
    </row>
    <row r="36" spans="1:16" x14ac:dyDescent="0.25">
      <c r="A36" s="3" t="s">
        <v>118</v>
      </c>
      <c r="B36" s="7">
        <f>SUM(B32:B35)</f>
        <v>859.31</v>
      </c>
      <c r="C36" s="3" t="s">
        <v>1</v>
      </c>
      <c r="F36" t="s">
        <v>108</v>
      </c>
      <c r="H36" s="10">
        <v>0</v>
      </c>
      <c r="I36" t="s">
        <v>121</v>
      </c>
      <c r="J36">
        <f>-G33*J35*H36/100</f>
        <v>0</v>
      </c>
      <c r="K36">
        <f>J36</f>
        <v>0</v>
      </c>
    </row>
    <row r="37" spans="1:16" x14ac:dyDescent="0.25">
      <c r="A37" s="3" t="s">
        <v>112</v>
      </c>
      <c r="K37" s="10">
        <f>SUM(K30:K36)/1000</f>
        <v>59.52</v>
      </c>
      <c r="L37" t="s">
        <v>1</v>
      </c>
      <c r="O37" t="s">
        <v>0</v>
      </c>
    </row>
    <row r="38" spans="1:16" x14ac:dyDescent="0.25">
      <c r="F38" t="s">
        <v>48</v>
      </c>
    </row>
    <row r="39" spans="1:16" x14ac:dyDescent="0.25">
      <c r="A39" s="6" t="s">
        <v>2</v>
      </c>
      <c r="B39" t="s">
        <v>3</v>
      </c>
      <c r="C39">
        <v>6</v>
      </c>
      <c r="F39" t="s">
        <v>72</v>
      </c>
    </row>
    <row r="40" spans="1:16" x14ac:dyDescent="0.25">
      <c r="B40" t="s">
        <v>4</v>
      </c>
      <c r="C40">
        <f>12*50</f>
        <v>600</v>
      </c>
      <c r="E40" t="s">
        <v>0</v>
      </c>
    </row>
    <row r="41" spans="1:16" x14ac:dyDescent="0.25">
      <c r="B41" t="s">
        <v>5</v>
      </c>
      <c r="C41">
        <v>6</v>
      </c>
      <c r="E41" t="s">
        <v>8</v>
      </c>
      <c r="F41" s="6" t="s">
        <v>93</v>
      </c>
      <c r="L41" t="s">
        <v>6</v>
      </c>
      <c r="M41">
        <v>1.1999999999999999E-3</v>
      </c>
      <c r="N41" t="s">
        <v>7</v>
      </c>
      <c r="O41" t="s">
        <v>86</v>
      </c>
    </row>
    <row r="42" spans="1:16" x14ac:dyDescent="0.25">
      <c r="B42" t="s">
        <v>100</v>
      </c>
      <c r="C42">
        <f>C43*C41</f>
        <v>7200</v>
      </c>
      <c r="D42" t="s">
        <v>54</v>
      </c>
      <c r="G42" t="s">
        <v>76</v>
      </c>
      <c r="H42" t="s">
        <v>98</v>
      </c>
      <c r="I42" t="s">
        <v>99</v>
      </c>
      <c r="K42" s="6" t="s">
        <v>75</v>
      </c>
      <c r="M42" t="s">
        <v>89</v>
      </c>
      <c r="N42" t="s">
        <v>90</v>
      </c>
    </row>
    <row r="43" spans="1:16" x14ac:dyDescent="0.25">
      <c r="B43" t="s">
        <v>71</v>
      </c>
      <c r="C43">
        <f>G30</f>
        <v>1200</v>
      </c>
      <c r="D43" t="s">
        <v>110</v>
      </c>
      <c r="F43" t="s">
        <v>96</v>
      </c>
      <c r="G43">
        <v>5</v>
      </c>
      <c r="H43">
        <v>40</v>
      </c>
      <c r="I43">
        <v>5.4</v>
      </c>
      <c r="K43" t="s">
        <v>76</v>
      </c>
      <c r="L43" t="s">
        <v>87</v>
      </c>
      <c r="M43" t="s">
        <v>88</v>
      </c>
      <c r="N43" t="s">
        <v>91</v>
      </c>
      <c r="O43" s="10" t="s">
        <v>92</v>
      </c>
    </row>
    <row r="44" spans="1:16" x14ac:dyDescent="0.25">
      <c r="F44" t="s">
        <v>97</v>
      </c>
      <c r="G44">
        <v>30</v>
      </c>
      <c r="H44">
        <v>60</v>
      </c>
      <c r="I44">
        <v>71.900000000000006</v>
      </c>
      <c r="K44">
        <v>40</v>
      </c>
      <c r="L44">
        <v>60</v>
      </c>
      <c r="M44">
        <f>126.4*(L44/100)</f>
        <v>75.84</v>
      </c>
      <c r="N44">
        <f t="shared" ref="N44:N49" si="1">(K44-K$50)*M$41*1000</f>
        <v>41.999999999999993</v>
      </c>
      <c r="O44" s="12">
        <f>M44+N44</f>
        <v>117.84</v>
      </c>
    </row>
    <row r="45" spans="1:16" x14ac:dyDescent="0.25">
      <c r="A45" s="3" t="s">
        <v>73</v>
      </c>
      <c r="B45" s="3">
        <v>6</v>
      </c>
      <c r="C45" t="s">
        <v>74</v>
      </c>
      <c r="F45" t="s">
        <v>106</v>
      </c>
      <c r="I45">
        <f>I44-I43</f>
        <v>66.5</v>
      </c>
      <c r="K45">
        <v>40</v>
      </c>
      <c r="L45">
        <v>20</v>
      </c>
      <c r="M45">
        <f>126.4*(L45/100)</f>
        <v>25.28</v>
      </c>
      <c r="N45">
        <f t="shared" si="1"/>
        <v>41.999999999999993</v>
      </c>
      <c r="O45" s="12">
        <f t="shared" ref="O45" si="2">M45+N45</f>
        <v>67.28</v>
      </c>
    </row>
    <row r="46" spans="1:16" x14ac:dyDescent="0.25">
      <c r="A46" s="3" t="s">
        <v>116</v>
      </c>
      <c r="B46" s="3"/>
      <c r="F46" t="s">
        <v>101</v>
      </c>
      <c r="I46">
        <f>C42</f>
        <v>7200</v>
      </c>
      <c r="K46">
        <v>30</v>
      </c>
      <c r="L46">
        <v>60</v>
      </c>
      <c r="M46">
        <f>69.8*(L46/100)</f>
        <v>41.879999999999995</v>
      </c>
      <c r="N46">
        <f t="shared" si="1"/>
        <v>30</v>
      </c>
      <c r="O46" s="12">
        <f>M46+N46</f>
        <v>71.88</v>
      </c>
      <c r="P46" t="s">
        <v>20</v>
      </c>
    </row>
    <row r="47" spans="1:16" x14ac:dyDescent="0.25">
      <c r="A47" s="3" t="s">
        <v>26</v>
      </c>
      <c r="B47" s="4">
        <f>B36/B45</f>
        <v>143.21833333333333</v>
      </c>
      <c r="F47" t="s">
        <v>102</v>
      </c>
      <c r="I47">
        <f>C39</f>
        <v>6</v>
      </c>
      <c r="K47">
        <v>30</v>
      </c>
      <c r="L47">
        <v>40</v>
      </c>
      <c r="M47">
        <f>69.8*(L47/100)</f>
        <v>27.92</v>
      </c>
      <c r="N47">
        <f t="shared" si="1"/>
        <v>30</v>
      </c>
      <c r="O47" s="12">
        <f>M47+N47</f>
        <v>57.92</v>
      </c>
    </row>
    <row r="48" spans="1:16" ht="60" x14ac:dyDescent="0.25">
      <c r="A48" s="9" t="s">
        <v>46</v>
      </c>
      <c r="B48" s="13" t="s">
        <v>114</v>
      </c>
      <c r="C48" s="11">
        <f>B36-B33</f>
        <v>61.309999999999945</v>
      </c>
      <c r="D48" t="s">
        <v>115</v>
      </c>
      <c r="F48" t="s">
        <v>103</v>
      </c>
      <c r="I48">
        <f>I46*I47</f>
        <v>43200</v>
      </c>
      <c r="K48">
        <v>20</v>
      </c>
      <c r="L48">
        <v>40</v>
      </c>
      <c r="M48">
        <f>37.43*(L48/100)</f>
        <v>14.972000000000001</v>
      </c>
      <c r="N48">
        <f t="shared" si="1"/>
        <v>18</v>
      </c>
      <c r="O48" s="12">
        <f>M48+N48</f>
        <v>32.972000000000001</v>
      </c>
    </row>
    <row r="49" spans="1:15" x14ac:dyDescent="0.25">
      <c r="A49" s="3" t="s">
        <v>27</v>
      </c>
      <c r="B49" s="3"/>
      <c r="C49" s="3"/>
      <c r="F49" t="s">
        <v>104</v>
      </c>
      <c r="I49">
        <f>I48/3600</f>
        <v>12</v>
      </c>
      <c r="K49">
        <v>10</v>
      </c>
      <c r="L49">
        <v>40</v>
      </c>
      <c r="M49">
        <f>19.3*(L49/100)</f>
        <v>7.7200000000000006</v>
      </c>
      <c r="N49">
        <f t="shared" si="1"/>
        <v>5.9999999999999991</v>
      </c>
      <c r="O49" s="12">
        <f>M49+N49</f>
        <v>13.719999999999999</v>
      </c>
    </row>
    <row r="50" spans="1:15" x14ac:dyDescent="0.25">
      <c r="A50" s="3" t="s">
        <v>26</v>
      </c>
      <c r="B50" s="5">
        <f>(B36-B33)/B45</f>
        <v>10.218333333333325</v>
      </c>
      <c r="C50" s="3"/>
      <c r="F50" t="s">
        <v>105</v>
      </c>
      <c r="H50" t="s">
        <v>1</v>
      </c>
      <c r="I50" s="10">
        <f>I45*I49</f>
        <v>798</v>
      </c>
      <c r="K50">
        <v>5</v>
      </c>
      <c r="L50">
        <v>40</v>
      </c>
      <c r="M50">
        <f>13.6*(L50/100)</f>
        <v>5.44</v>
      </c>
      <c r="N50">
        <v>0</v>
      </c>
      <c r="O50" s="12">
        <f>M50+N50</f>
        <v>5.44</v>
      </c>
    </row>
    <row r="51" spans="1:15" x14ac:dyDescent="0.25">
      <c r="I51" s="10"/>
    </row>
    <row r="52" spans="1:15" x14ac:dyDescent="0.25">
      <c r="A52" t="s">
        <v>117</v>
      </c>
      <c r="B52" s="2">
        <f>B36/0.8</f>
        <v>1074.1374999999998</v>
      </c>
      <c r="C52" t="s">
        <v>28</v>
      </c>
      <c r="D52" s="2">
        <f>B52*3.6</f>
        <v>3866.8949999999995</v>
      </c>
      <c r="E52" t="s">
        <v>29</v>
      </c>
    </row>
    <row r="56" spans="1:15" x14ac:dyDescent="0.25">
      <c r="M56" t="s">
        <v>0</v>
      </c>
    </row>
    <row r="85" spans="1:9" x14ac:dyDescent="0.25">
      <c r="F85" t="s">
        <v>68</v>
      </c>
      <c r="G85">
        <f>300*B93/1000*3.6</f>
        <v>540</v>
      </c>
      <c r="H85" t="s">
        <v>69</v>
      </c>
    </row>
    <row r="86" spans="1:9" x14ac:dyDescent="0.25">
      <c r="A86" t="s">
        <v>49</v>
      </c>
    </row>
    <row r="87" spans="1:9" x14ac:dyDescent="0.25">
      <c r="A87" t="s">
        <v>50</v>
      </c>
      <c r="B87">
        <v>50</v>
      </c>
      <c r="E87" t="s">
        <v>64</v>
      </c>
      <c r="F87">
        <v>8</v>
      </c>
    </row>
    <row r="88" spans="1:9" x14ac:dyDescent="0.25">
      <c r="A88" t="s">
        <v>51</v>
      </c>
      <c r="B88">
        <v>1.8</v>
      </c>
      <c r="D88" t="s">
        <v>62</v>
      </c>
      <c r="E88" t="s">
        <v>63</v>
      </c>
      <c r="F88" t="s">
        <v>61</v>
      </c>
      <c r="G88" t="s">
        <v>65</v>
      </c>
    </row>
    <row r="89" spans="1:9" x14ac:dyDescent="0.25">
      <c r="A89" t="s">
        <v>52</v>
      </c>
      <c r="B89">
        <v>10</v>
      </c>
      <c r="D89">
        <v>25</v>
      </c>
      <c r="E89">
        <f>D89*F87</f>
        <v>200</v>
      </c>
      <c r="F89">
        <f>E89*3.6</f>
        <v>720</v>
      </c>
      <c r="G89">
        <f>B92/F89</f>
        <v>5.25</v>
      </c>
      <c r="H89" t="s">
        <v>60</v>
      </c>
    </row>
    <row r="90" spans="1:9" x14ac:dyDescent="0.25">
      <c r="A90" t="s">
        <v>53</v>
      </c>
      <c r="B90">
        <f>B87*B88*B89</f>
        <v>900</v>
      </c>
      <c r="C90" t="s">
        <v>54</v>
      </c>
      <c r="F90" t="s">
        <v>66</v>
      </c>
      <c r="G90">
        <f>G89*15</f>
        <v>78.75</v>
      </c>
      <c r="H90">
        <f>G90/24</f>
        <v>3.28125</v>
      </c>
      <c r="I90" t="s">
        <v>67</v>
      </c>
    </row>
    <row r="91" spans="1:9" x14ac:dyDescent="0.25">
      <c r="A91" t="s">
        <v>55</v>
      </c>
      <c r="B91">
        <v>4.2</v>
      </c>
    </row>
    <row r="92" spans="1:9" x14ac:dyDescent="0.25">
      <c r="A92" t="s">
        <v>56</v>
      </c>
      <c r="B92">
        <f>B90*B91</f>
        <v>3780</v>
      </c>
      <c r="C92" t="s">
        <v>57</v>
      </c>
      <c r="D92" t="s">
        <v>17</v>
      </c>
      <c r="E92" t="s">
        <v>61</v>
      </c>
    </row>
    <row r="93" spans="1:9" x14ac:dyDescent="0.25">
      <c r="A93" t="s">
        <v>11</v>
      </c>
      <c r="B93">
        <f>B87*B89</f>
        <v>500</v>
      </c>
      <c r="D93">
        <v>15</v>
      </c>
      <c r="E93">
        <f>D93/1000*3.6</f>
        <v>5.3999999999999999E-2</v>
      </c>
    </row>
    <row r="94" spans="1:9" x14ac:dyDescent="0.25">
      <c r="A94" t="s">
        <v>58</v>
      </c>
      <c r="B94">
        <v>15</v>
      </c>
      <c r="C94" t="s">
        <v>17</v>
      </c>
      <c r="D94">
        <f>D93*B93</f>
        <v>7500</v>
      </c>
      <c r="E94">
        <f>E93*B93</f>
        <v>27</v>
      </c>
    </row>
    <row r="95" spans="1:9" x14ac:dyDescent="0.25">
      <c r="A95" t="s">
        <v>59</v>
      </c>
      <c r="B95">
        <f>B92/E93/B93</f>
        <v>140</v>
      </c>
      <c r="C95" t="s">
        <v>60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8E0BC-D156-48B1-8E23-DA43AE6CC79B}">
  <dimension ref="A1:P95"/>
  <sheetViews>
    <sheetView tabSelected="1" zoomScale="78" zoomScaleNormal="78" workbookViewId="0">
      <selection activeCell="A48" sqref="A48"/>
    </sheetView>
  </sheetViews>
  <sheetFormatPr defaultRowHeight="15" x14ac:dyDescent="0.25"/>
  <cols>
    <col min="1" max="1" width="25.85546875" customWidth="1"/>
    <col min="2" max="2" width="12.140625" customWidth="1"/>
    <col min="3" max="3" width="10.140625" customWidth="1"/>
    <col min="5" max="5" width="9.85546875" customWidth="1"/>
    <col min="6" max="6" width="14.5703125" customWidth="1"/>
    <col min="9" max="9" width="10.85546875" customWidth="1"/>
    <col min="14" max="14" width="10.5703125" customWidth="1"/>
    <col min="15" max="15" width="12.140625" customWidth="1"/>
  </cols>
  <sheetData>
    <row r="1" spans="1:8" x14ac:dyDescent="0.25">
      <c r="A1" t="s">
        <v>40</v>
      </c>
      <c r="C1" t="s">
        <v>77</v>
      </c>
    </row>
    <row r="3" spans="1:8" x14ac:dyDescent="0.25">
      <c r="H3" t="s">
        <v>78</v>
      </c>
    </row>
    <row r="4" spans="1:8" x14ac:dyDescent="0.25">
      <c r="H4" t="s">
        <v>79</v>
      </c>
    </row>
    <row r="5" spans="1:8" x14ac:dyDescent="0.25">
      <c r="H5" t="s">
        <v>32</v>
      </c>
    </row>
    <row r="6" spans="1:8" x14ac:dyDescent="0.25">
      <c r="H6" t="s">
        <v>80</v>
      </c>
    </row>
    <row r="7" spans="1:8" x14ac:dyDescent="0.25">
      <c r="H7" t="s">
        <v>41</v>
      </c>
    </row>
    <row r="8" spans="1:8" x14ac:dyDescent="0.25">
      <c r="H8" t="s">
        <v>81</v>
      </c>
    </row>
    <row r="9" spans="1:8" x14ac:dyDescent="0.25">
      <c r="H9" t="s">
        <v>85</v>
      </c>
    </row>
    <row r="11" spans="1:8" x14ac:dyDescent="0.25">
      <c r="H11" t="s">
        <v>33</v>
      </c>
    </row>
    <row r="12" spans="1:8" x14ac:dyDescent="0.25">
      <c r="H12" t="s">
        <v>82</v>
      </c>
    </row>
    <row r="13" spans="1:8" x14ac:dyDescent="0.25">
      <c r="H13" t="s">
        <v>83</v>
      </c>
    </row>
    <row r="14" spans="1:8" x14ac:dyDescent="0.25">
      <c r="H14" t="s">
        <v>0</v>
      </c>
    </row>
    <row r="15" spans="1:8" x14ac:dyDescent="0.25">
      <c r="H15" t="s">
        <v>34</v>
      </c>
    </row>
    <row r="16" spans="1:8" x14ac:dyDescent="0.25">
      <c r="H16" t="s">
        <v>84</v>
      </c>
    </row>
    <row r="17" spans="1:16" x14ac:dyDescent="0.25">
      <c r="H17" t="s">
        <v>94</v>
      </c>
    </row>
    <row r="19" spans="1:16" x14ac:dyDescent="0.25">
      <c r="H19" t="s">
        <v>36</v>
      </c>
      <c r="I19">
        <f>3500/8000</f>
        <v>0.4375</v>
      </c>
      <c r="J19" t="s">
        <v>43</v>
      </c>
    </row>
    <row r="20" spans="1:16" x14ac:dyDescent="0.25">
      <c r="I20" t="s">
        <v>18</v>
      </c>
    </row>
    <row r="22" spans="1:16" x14ac:dyDescent="0.25">
      <c r="A22" t="s">
        <v>31</v>
      </c>
      <c r="D22" t="s">
        <v>37</v>
      </c>
    </row>
    <row r="23" spans="1:16" x14ac:dyDescent="0.25">
      <c r="A23" t="s">
        <v>38</v>
      </c>
    </row>
    <row r="24" spans="1:16" x14ac:dyDescent="0.25">
      <c r="A24" t="s">
        <v>30</v>
      </c>
    </row>
    <row r="25" spans="1:16" x14ac:dyDescent="0.25">
      <c r="A25" t="s">
        <v>0</v>
      </c>
    </row>
    <row r="29" spans="1:16" x14ac:dyDescent="0.25">
      <c r="A29" s="6" t="s">
        <v>111</v>
      </c>
      <c r="B29" t="s">
        <v>120</v>
      </c>
      <c r="F29" s="6" t="s">
        <v>9</v>
      </c>
      <c r="G29" t="s">
        <v>11</v>
      </c>
      <c r="H29" t="s">
        <v>14</v>
      </c>
      <c r="I29" s="10" t="s">
        <v>15</v>
      </c>
      <c r="J29" t="s">
        <v>16</v>
      </c>
      <c r="K29" t="s">
        <v>17</v>
      </c>
      <c r="M29" t="s">
        <v>70</v>
      </c>
    </row>
    <row r="30" spans="1:16" x14ac:dyDescent="0.25">
      <c r="A30" t="s">
        <v>42</v>
      </c>
      <c r="F30" t="s">
        <v>10</v>
      </c>
      <c r="G30">
        <v>1200</v>
      </c>
      <c r="H30">
        <v>1.5</v>
      </c>
      <c r="I30">
        <v>-10</v>
      </c>
      <c r="K30">
        <f>G30*I30/H30</f>
        <v>-8000</v>
      </c>
      <c r="M30" s="6" t="s">
        <v>35</v>
      </c>
      <c r="P30">
        <f>1/2.7</f>
        <v>0.37037037037037035</v>
      </c>
    </row>
    <row r="31" spans="1:16" x14ac:dyDescent="0.25">
      <c r="A31" s="3" t="s">
        <v>39</v>
      </c>
      <c r="B31" s="3"/>
      <c r="C31" s="3"/>
      <c r="D31" t="s">
        <v>45</v>
      </c>
      <c r="F31" t="s">
        <v>13</v>
      </c>
      <c r="G31">
        <f>(G$30/3)^0.5*8*C$41</f>
        <v>960</v>
      </c>
      <c r="H31" t="s">
        <v>113</v>
      </c>
      <c r="M31" t="s">
        <v>23</v>
      </c>
      <c r="N31">
        <v>15</v>
      </c>
    </row>
    <row r="32" spans="1:16" x14ac:dyDescent="0.25">
      <c r="A32" s="3" t="s">
        <v>19</v>
      </c>
      <c r="B32" s="7">
        <f>K37</f>
        <v>-102.848</v>
      </c>
      <c r="C32" s="3"/>
      <c r="D32" s="1">
        <f>B32/B$36</f>
        <v>0.36130373992650833</v>
      </c>
      <c r="F32" t="s">
        <v>12</v>
      </c>
      <c r="G32">
        <v>30</v>
      </c>
      <c r="M32" t="s">
        <v>4</v>
      </c>
      <c r="N32">
        <f>(50*2+12*2)*1.5+C40</f>
        <v>786</v>
      </c>
      <c r="O32" t="s">
        <v>119</v>
      </c>
    </row>
    <row r="33" spans="1:16" x14ac:dyDescent="0.25">
      <c r="A33" s="3" t="s">
        <v>20</v>
      </c>
      <c r="B33" s="7">
        <f>I50</f>
        <v>-183.59999999999997</v>
      </c>
      <c r="C33" s="3" t="s">
        <v>21</v>
      </c>
      <c r="D33" s="1">
        <f>B33/B$36</f>
        <v>0.64498450772505955</v>
      </c>
      <c r="F33" t="s">
        <v>47</v>
      </c>
      <c r="G33">
        <f>G31*G32/100</f>
        <v>288</v>
      </c>
      <c r="H33" s="1">
        <f>1/11.6</f>
        <v>8.6206896551724144E-2</v>
      </c>
      <c r="I33">
        <v>-10</v>
      </c>
      <c r="K33">
        <f t="shared" ref="K33:K34" si="0">G33*I33/H33</f>
        <v>-33408</v>
      </c>
      <c r="M33" t="s">
        <v>24</v>
      </c>
      <c r="N33">
        <f>N31*N32</f>
        <v>11790</v>
      </c>
    </row>
    <row r="34" spans="1:16" x14ac:dyDescent="0.25">
      <c r="A34" s="3" t="s">
        <v>22</v>
      </c>
      <c r="B34" s="7">
        <f>N34</f>
        <v>11.79</v>
      </c>
      <c r="C34" s="3"/>
      <c r="D34" s="1">
        <f>B34/B$36</f>
        <v>-4.1418122799991575E-2</v>
      </c>
      <c r="F34" t="s">
        <v>95</v>
      </c>
      <c r="G34">
        <f>G30-G33</f>
        <v>912</v>
      </c>
      <c r="H34">
        <v>0.5</v>
      </c>
      <c r="I34">
        <v>-10</v>
      </c>
      <c r="K34">
        <f t="shared" si="0"/>
        <v>-18240</v>
      </c>
      <c r="M34" t="s">
        <v>25</v>
      </c>
      <c r="N34" s="10">
        <f>N33/1000</f>
        <v>11.79</v>
      </c>
    </row>
    <row r="35" spans="1:16" ht="30" x14ac:dyDescent="0.25">
      <c r="A35" s="8" t="s">
        <v>44</v>
      </c>
      <c r="B35" s="7">
        <v>-10</v>
      </c>
      <c r="C35" s="3"/>
      <c r="D35" s="1">
        <f>B35/B$36</f>
        <v>3.512987514842373E-2</v>
      </c>
      <c r="F35" t="s">
        <v>107</v>
      </c>
      <c r="J35">
        <v>500</v>
      </c>
    </row>
    <row r="36" spans="1:16" x14ac:dyDescent="0.25">
      <c r="A36" s="3" t="s">
        <v>118</v>
      </c>
      <c r="B36" s="7">
        <f>SUM(B32:B35)</f>
        <v>-284.65799999999996</v>
      </c>
      <c r="C36" s="3" t="s">
        <v>1</v>
      </c>
      <c r="F36" t="s">
        <v>108</v>
      </c>
      <c r="H36" s="10">
        <v>30</v>
      </c>
      <c r="I36" t="s">
        <v>122</v>
      </c>
      <c r="J36">
        <f>-G33*J35*H36/100</f>
        <v>-43200</v>
      </c>
      <c r="K36">
        <f>J36</f>
        <v>-43200</v>
      </c>
    </row>
    <row r="37" spans="1:16" x14ac:dyDescent="0.25">
      <c r="A37" s="3" t="s">
        <v>112</v>
      </c>
      <c r="K37" s="10">
        <f>SUM(K30:K36)/1000</f>
        <v>-102.848</v>
      </c>
      <c r="L37" t="s">
        <v>1</v>
      </c>
      <c r="O37" t="s">
        <v>0</v>
      </c>
    </row>
    <row r="38" spans="1:16" x14ac:dyDescent="0.25">
      <c r="F38" t="s">
        <v>48</v>
      </c>
    </row>
    <row r="39" spans="1:16" x14ac:dyDescent="0.25">
      <c r="A39" s="6" t="s">
        <v>2</v>
      </c>
      <c r="B39" t="s">
        <v>3</v>
      </c>
      <c r="C39">
        <v>2</v>
      </c>
      <c r="F39" t="s">
        <v>72</v>
      </c>
    </row>
    <row r="40" spans="1:16" x14ac:dyDescent="0.25">
      <c r="B40" t="s">
        <v>4</v>
      </c>
      <c r="C40">
        <f>12*50</f>
        <v>600</v>
      </c>
      <c r="E40" t="s">
        <v>0</v>
      </c>
    </row>
    <row r="41" spans="1:16" x14ac:dyDescent="0.25">
      <c r="B41" t="s">
        <v>5</v>
      </c>
      <c r="C41">
        <v>6</v>
      </c>
      <c r="E41" t="s">
        <v>8</v>
      </c>
      <c r="F41" s="6" t="s">
        <v>93</v>
      </c>
      <c r="L41" t="s">
        <v>6</v>
      </c>
      <c r="M41">
        <v>1.1999999999999999E-3</v>
      </c>
      <c r="N41" t="s">
        <v>7</v>
      </c>
      <c r="O41" t="s">
        <v>86</v>
      </c>
    </row>
    <row r="42" spans="1:16" x14ac:dyDescent="0.25">
      <c r="B42" t="s">
        <v>100</v>
      </c>
      <c r="C42">
        <f>C43*C41</f>
        <v>7200</v>
      </c>
      <c r="D42" t="s">
        <v>54</v>
      </c>
      <c r="G42" t="s">
        <v>76</v>
      </c>
      <c r="H42" t="s">
        <v>98</v>
      </c>
      <c r="I42" t="s">
        <v>99</v>
      </c>
      <c r="K42" s="6" t="s">
        <v>75</v>
      </c>
      <c r="M42" t="s">
        <v>89</v>
      </c>
      <c r="N42" t="s">
        <v>90</v>
      </c>
    </row>
    <row r="43" spans="1:16" x14ac:dyDescent="0.25">
      <c r="B43" t="s">
        <v>71</v>
      </c>
      <c r="C43">
        <f>G30</f>
        <v>1200</v>
      </c>
      <c r="D43" t="s">
        <v>110</v>
      </c>
      <c r="F43" t="s">
        <v>96</v>
      </c>
      <c r="G43">
        <v>40</v>
      </c>
      <c r="H43">
        <v>60</v>
      </c>
      <c r="I43">
        <v>117.8</v>
      </c>
      <c r="K43" t="s">
        <v>76</v>
      </c>
      <c r="L43" t="s">
        <v>87</v>
      </c>
      <c r="M43" t="s">
        <v>88</v>
      </c>
      <c r="N43" t="s">
        <v>91</v>
      </c>
      <c r="O43" s="10" t="s">
        <v>92</v>
      </c>
    </row>
    <row r="44" spans="1:16" x14ac:dyDescent="0.25">
      <c r="F44" t="s">
        <v>97</v>
      </c>
      <c r="G44">
        <v>30</v>
      </c>
      <c r="H44">
        <v>60</v>
      </c>
      <c r="I44">
        <v>71.900000000000006</v>
      </c>
      <c r="K44">
        <v>40</v>
      </c>
      <c r="L44">
        <v>60</v>
      </c>
      <c r="M44">
        <f>126.4*(L44/100)</f>
        <v>75.84</v>
      </c>
      <c r="N44">
        <f t="shared" ref="N44:N49" si="1">(K44-K$50)*M$41*1000</f>
        <v>41.999999999999993</v>
      </c>
      <c r="O44" s="12">
        <f>M44+N44</f>
        <v>117.84</v>
      </c>
    </row>
    <row r="45" spans="1:16" x14ac:dyDescent="0.25">
      <c r="A45" s="3" t="s">
        <v>73</v>
      </c>
      <c r="B45" s="3">
        <v>6</v>
      </c>
      <c r="C45" t="s">
        <v>74</v>
      </c>
      <c r="F45" t="s">
        <v>106</v>
      </c>
      <c r="I45">
        <f>I44-I43</f>
        <v>-45.899999999999991</v>
      </c>
      <c r="K45">
        <v>40</v>
      </c>
      <c r="L45">
        <v>20</v>
      </c>
      <c r="M45">
        <f>126.4*(L45/100)</f>
        <v>25.28</v>
      </c>
      <c r="N45">
        <f t="shared" si="1"/>
        <v>41.999999999999993</v>
      </c>
      <c r="O45" s="12">
        <f t="shared" ref="O45" si="2">M45+N45</f>
        <v>67.28</v>
      </c>
    </row>
    <row r="46" spans="1:16" x14ac:dyDescent="0.25">
      <c r="A46" s="3" t="s">
        <v>116</v>
      </c>
      <c r="B46" s="3"/>
      <c r="F46" t="s">
        <v>101</v>
      </c>
      <c r="I46">
        <f>C42</f>
        <v>7200</v>
      </c>
      <c r="K46">
        <v>30</v>
      </c>
      <c r="L46">
        <v>65</v>
      </c>
      <c r="M46">
        <f>69.8*(L46/100)</f>
        <v>45.37</v>
      </c>
      <c r="N46">
        <f t="shared" si="1"/>
        <v>30</v>
      </c>
      <c r="O46" s="12">
        <f>M46+N46</f>
        <v>75.37</v>
      </c>
      <c r="P46" t="s">
        <v>20</v>
      </c>
    </row>
    <row r="47" spans="1:16" x14ac:dyDescent="0.25">
      <c r="A47" s="3" t="s">
        <v>26</v>
      </c>
      <c r="B47" s="4">
        <f>B36/B45</f>
        <v>-47.442999999999991</v>
      </c>
      <c r="F47" t="s">
        <v>102</v>
      </c>
      <c r="I47">
        <f>C39</f>
        <v>2</v>
      </c>
      <c r="K47">
        <v>30</v>
      </c>
      <c r="L47">
        <v>40</v>
      </c>
      <c r="M47">
        <f>69.8*(L47/100)</f>
        <v>27.92</v>
      </c>
      <c r="N47">
        <f t="shared" si="1"/>
        <v>30</v>
      </c>
      <c r="O47" s="12">
        <f>M47+N47</f>
        <v>57.92</v>
      </c>
    </row>
    <row r="48" spans="1:16" ht="60" x14ac:dyDescent="0.25">
      <c r="A48" s="9" t="s">
        <v>46</v>
      </c>
      <c r="B48" s="13" t="s">
        <v>114</v>
      </c>
      <c r="C48" s="11">
        <f>B36-B33</f>
        <v>-101.05799999999999</v>
      </c>
      <c r="D48" t="s">
        <v>115</v>
      </c>
      <c r="F48" t="s">
        <v>103</v>
      </c>
      <c r="I48">
        <f>I46*I47</f>
        <v>14400</v>
      </c>
      <c r="K48">
        <v>20</v>
      </c>
      <c r="L48">
        <v>40</v>
      </c>
      <c r="M48">
        <f>37.43*(L48/100)</f>
        <v>14.972000000000001</v>
      </c>
      <c r="N48">
        <f t="shared" si="1"/>
        <v>18</v>
      </c>
      <c r="O48" s="12">
        <f>M48+N48</f>
        <v>32.972000000000001</v>
      </c>
    </row>
    <row r="49" spans="1:15" x14ac:dyDescent="0.25">
      <c r="A49" s="3" t="s">
        <v>27</v>
      </c>
      <c r="B49" s="3"/>
      <c r="C49" s="3"/>
      <c r="F49" t="s">
        <v>104</v>
      </c>
      <c r="I49">
        <f>I48/3600</f>
        <v>4</v>
      </c>
      <c r="K49">
        <v>10</v>
      </c>
      <c r="L49">
        <v>40</v>
      </c>
      <c r="M49">
        <f>19.3*(L49/100)</f>
        <v>7.7200000000000006</v>
      </c>
      <c r="N49">
        <f t="shared" si="1"/>
        <v>5.9999999999999991</v>
      </c>
      <c r="O49" s="12">
        <f>M49+N49</f>
        <v>13.719999999999999</v>
      </c>
    </row>
    <row r="50" spans="1:15" x14ac:dyDescent="0.25">
      <c r="A50" s="3" t="s">
        <v>26</v>
      </c>
      <c r="B50" s="5">
        <f>(B36-B33)/B45</f>
        <v>-16.843</v>
      </c>
      <c r="C50" s="3"/>
      <c r="F50" t="s">
        <v>105</v>
      </c>
      <c r="H50" t="s">
        <v>1</v>
      </c>
      <c r="I50" s="10">
        <f>I45*I49</f>
        <v>-183.59999999999997</v>
      </c>
      <c r="K50">
        <v>5</v>
      </c>
      <c r="L50">
        <v>40</v>
      </c>
      <c r="M50">
        <f>13.6*(L50/100)</f>
        <v>5.44</v>
      </c>
      <c r="N50">
        <v>0</v>
      </c>
      <c r="O50" s="12">
        <f>M50+N50</f>
        <v>5.44</v>
      </c>
    </row>
    <row r="51" spans="1:15" x14ac:dyDescent="0.25">
      <c r="I51" s="10"/>
    </row>
    <row r="52" spans="1:15" x14ac:dyDescent="0.25">
      <c r="A52" t="s">
        <v>117</v>
      </c>
      <c r="B52" s="2">
        <f>B36/0.8</f>
        <v>-355.82249999999993</v>
      </c>
      <c r="C52" t="s">
        <v>28</v>
      </c>
      <c r="D52" s="2">
        <f>B52*3.6</f>
        <v>-1280.9609999999998</v>
      </c>
      <c r="E52" t="s">
        <v>29</v>
      </c>
    </row>
    <row r="56" spans="1:15" x14ac:dyDescent="0.25">
      <c r="M56" t="s">
        <v>0</v>
      </c>
    </row>
    <row r="85" spans="1:9" x14ac:dyDescent="0.25">
      <c r="F85" t="s">
        <v>68</v>
      </c>
      <c r="G85">
        <f>300*B93/1000*3.6</f>
        <v>540</v>
      </c>
      <c r="H85" t="s">
        <v>69</v>
      </c>
    </row>
    <row r="86" spans="1:9" x14ac:dyDescent="0.25">
      <c r="A86" t="s">
        <v>49</v>
      </c>
    </row>
    <row r="87" spans="1:9" x14ac:dyDescent="0.25">
      <c r="A87" t="s">
        <v>50</v>
      </c>
      <c r="B87">
        <v>50</v>
      </c>
      <c r="E87" t="s">
        <v>64</v>
      </c>
      <c r="F87">
        <v>8</v>
      </c>
    </row>
    <row r="88" spans="1:9" x14ac:dyDescent="0.25">
      <c r="A88" t="s">
        <v>51</v>
      </c>
      <c r="B88">
        <v>1.8</v>
      </c>
      <c r="D88" t="s">
        <v>62</v>
      </c>
      <c r="E88" t="s">
        <v>63</v>
      </c>
      <c r="F88" t="s">
        <v>61</v>
      </c>
      <c r="G88" t="s">
        <v>65</v>
      </c>
    </row>
    <row r="89" spans="1:9" x14ac:dyDescent="0.25">
      <c r="A89" t="s">
        <v>52</v>
      </c>
      <c r="B89">
        <v>10</v>
      </c>
      <c r="D89">
        <v>25</v>
      </c>
      <c r="E89">
        <f>D89*F87</f>
        <v>200</v>
      </c>
      <c r="F89">
        <f>E89*3.6</f>
        <v>720</v>
      </c>
      <c r="G89">
        <f>B92/F89</f>
        <v>5.25</v>
      </c>
      <c r="H89" t="s">
        <v>60</v>
      </c>
    </row>
    <row r="90" spans="1:9" x14ac:dyDescent="0.25">
      <c r="A90" t="s">
        <v>53</v>
      </c>
      <c r="B90">
        <f>B87*B88*B89</f>
        <v>900</v>
      </c>
      <c r="C90" t="s">
        <v>54</v>
      </c>
      <c r="F90" t="s">
        <v>66</v>
      </c>
      <c r="G90">
        <f>G89*15</f>
        <v>78.75</v>
      </c>
      <c r="H90">
        <f>G90/24</f>
        <v>3.28125</v>
      </c>
      <c r="I90" t="s">
        <v>67</v>
      </c>
    </row>
    <row r="91" spans="1:9" x14ac:dyDescent="0.25">
      <c r="A91" t="s">
        <v>55</v>
      </c>
      <c r="B91">
        <v>4.2</v>
      </c>
    </row>
    <row r="92" spans="1:9" x14ac:dyDescent="0.25">
      <c r="A92" t="s">
        <v>56</v>
      </c>
      <c r="B92">
        <f>B90*B91</f>
        <v>3780</v>
      </c>
      <c r="C92" t="s">
        <v>57</v>
      </c>
      <c r="D92" t="s">
        <v>17</v>
      </c>
      <c r="E92" t="s">
        <v>61</v>
      </c>
    </row>
    <row r="93" spans="1:9" x14ac:dyDescent="0.25">
      <c r="A93" t="s">
        <v>11</v>
      </c>
      <c r="B93">
        <f>B87*B89</f>
        <v>500</v>
      </c>
      <c r="D93">
        <v>15</v>
      </c>
      <c r="E93">
        <f>D93/1000*3.6</f>
        <v>5.3999999999999999E-2</v>
      </c>
    </row>
    <row r="94" spans="1:9" x14ac:dyDescent="0.25">
      <c r="A94" t="s">
        <v>58</v>
      </c>
      <c r="B94">
        <v>15</v>
      </c>
      <c r="C94" t="s">
        <v>17</v>
      </c>
      <c r="D94">
        <f>D93*B93</f>
        <v>7500</v>
      </c>
      <c r="E94">
        <f>E93*B93</f>
        <v>27</v>
      </c>
    </row>
    <row r="95" spans="1:9" x14ac:dyDescent="0.25">
      <c r="A95" t="s">
        <v>59</v>
      </c>
      <c r="B95">
        <f>B92/E93/B93</f>
        <v>140</v>
      </c>
      <c r="C95" t="s">
        <v>60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F7C3A4F10694C8154CAC196356542" ma:contentTypeVersion="14" ma:contentTypeDescription="Create a new document." ma:contentTypeScope="" ma:versionID="5f4c9bb69554f82f097d15f5deefdead">
  <xsd:schema xmlns:xsd="http://www.w3.org/2001/XMLSchema" xmlns:xs="http://www.w3.org/2001/XMLSchema" xmlns:p="http://schemas.microsoft.com/office/2006/metadata/properties" xmlns:ns2="b5ca9ca3-d64d-4265-a6cb-5bba9885581f" xmlns:ns3="38526c1a-6377-422c-b847-492e955112c4" targetNamespace="http://schemas.microsoft.com/office/2006/metadata/properties" ma:root="true" ma:fieldsID="516ebc87f9652c07d379e1ed4d7bf2c8" ns2:_="" ns3:_="">
    <xsd:import namespace="b5ca9ca3-d64d-4265-a6cb-5bba9885581f"/>
    <xsd:import namespace="38526c1a-6377-422c-b847-492e95511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a9ca3-d64d-4265-a6cb-5bba988558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ink" ma:index="20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526c1a-6377-422c-b847-492e95511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8526c1a-6377-422c-b847-492e955112c4">
      <UserInfo>
        <DisplayName/>
        <AccountId xsi:nil="true"/>
        <AccountType/>
      </UserInfo>
    </SharedWithUsers>
    <Link xmlns="b5ca9ca3-d64d-4265-a6cb-5bba9885581f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59F8A936-153A-4E10-BE8F-8BE2D7413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a9ca3-d64d-4265-a6cb-5bba9885581f"/>
    <ds:schemaRef ds:uri="38526c1a-6377-422c-b847-492e95511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04CEC5-316B-4328-B159-CB8596774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9FD782-19D8-4B04-B099-7B7F609DF8C0}">
  <ds:schemaRefs>
    <ds:schemaRef ds:uri="http://schemas.microsoft.com/office/2006/metadata/properties"/>
    <ds:schemaRef ds:uri="http://schemas.microsoft.com/office/infopath/2007/PartnerControls"/>
    <ds:schemaRef ds:uri="38526c1a-6377-422c-b847-492e955112c4"/>
    <ds:schemaRef ds:uri="b5ca9ca3-d64d-4265-a6cb-5bba988558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Heat pump model</vt:lpstr>
      <vt:lpstr>Heat pump model (2)</vt:lpstr>
      <vt:lpstr>Heat pump model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Alan</dc:creator>
  <cp:lastModifiedBy>Kelly Mudford</cp:lastModifiedBy>
  <dcterms:created xsi:type="dcterms:W3CDTF">2020-04-25T20:07:08Z</dcterms:created>
  <dcterms:modified xsi:type="dcterms:W3CDTF">2020-11-24T05:38:09Z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3d088b-6243-4963-a2e2-8b321ab7f8fc_Enabled">
    <vt:lpwstr>true</vt:lpwstr>
  </property>
  <property fmtid="{D5CDD505-2E9C-101B-9397-08002B2CF9AE}" pid="3" name="MSIP_Label_8c3d088b-6243-4963-a2e2-8b321ab7f8fc_SetDate">
    <vt:lpwstr>2020-04-25T20:07:09Z</vt:lpwstr>
  </property>
  <property fmtid="{D5CDD505-2E9C-101B-9397-08002B2CF9AE}" pid="4" name="MSIP_Label_8c3d088b-6243-4963-a2e2-8b321ab7f8fc_Method">
    <vt:lpwstr>Standard</vt:lpwstr>
  </property>
  <property fmtid="{D5CDD505-2E9C-101B-9397-08002B2CF9AE}" pid="5" name="MSIP_Label_8c3d088b-6243-4963-a2e2-8b321ab7f8fc_Name">
    <vt:lpwstr>Trusted</vt:lpwstr>
  </property>
  <property fmtid="{D5CDD505-2E9C-101B-9397-08002B2CF9AE}" pid="6" name="MSIP_Label_8c3d088b-6243-4963-a2e2-8b321ab7f8fc_SiteId">
    <vt:lpwstr>d1323671-cdbe-4417-b4d4-bdb24b51316b</vt:lpwstr>
  </property>
  <property fmtid="{D5CDD505-2E9C-101B-9397-08002B2CF9AE}" pid="7" name="MSIP_Label_8c3d088b-6243-4963-a2e2-8b321ab7f8fc_ActionId">
    <vt:lpwstr>73c9fd96-3134-4f04-b0a2-000092ae6020</vt:lpwstr>
  </property>
  <property fmtid="{D5CDD505-2E9C-101B-9397-08002B2CF9AE}" pid="8" name="MSIP_Label_8c3d088b-6243-4963-a2e2-8b321ab7f8fc_ContentBits">
    <vt:lpwstr>1</vt:lpwstr>
  </property>
  <property fmtid="{D5CDD505-2E9C-101B-9397-08002B2CF9AE}" pid="9" name="ContentTypeId">
    <vt:lpwstr>0x0101000B3F7C3A4F10694C8154CAC196356542</vt:lpwstr>
  </property>
  <property fmtid="{D5CDD505-2E9C-101B-9397-08002B2CF9AE}" pid="10" name="ComplianceAssetId">
    <vt:lpwstr/>
  </property>
</Properties>
</file>